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<sst xmlns="http://schemas.openxmlformats.org/spreadsheetml/2006/main" count="47" uniqueCount="39">
  <si>
    <t>© Angyal József okleveles adószakértő</t>
  </si>
  <si>
    <t>Éves</t>
  </si>
  <si>
    <t xml:space="preserve">Havi </t>
  </si>
  <si>
    <t>napi</t>
  </si>
  <si>
    <t>Előző évi átlagjövedelem / nap (táppénz alap) :</t>
  </si>
  <si>
    <t xml:space="preserve"> /nap</t>
  </si>
  <si>
    <t>Terhességi gyermekágyi segély:</t>
  </si>
  <si>
    <t xml:space="preserve">ig </t>
  </si>
  <si>
    <t>vagy</t>
  </si>
  <si>
    <t>Gyemekgondozási díj:</t>
  </si>
  <si>
    <t>gyes</t>
  </si>
  <si>
    <t>nyugdj.</t>
  </si>
  <si>
    <t>Juttatások</t>
  </si>
  <si>
    <t>Levonások</t>
  </si>
  <si>
    <t>Hónap</t>
  </si>
  <si>
    <t>szja (*)</t>
  </si>
  <si>
    <t>Gyermek születésének (várható) időpontja:</t>
  </si>
  <si>
    <t>Jogosultsági feltétel (tgyás,gyed) (**):</t>
  </si>
  <si>
    <t>(**) a biztosítási időn kívül más feltételeket is vizsgálni kell a jogosultsághoz</t>
  </si>
  <si>
    <t xml:space="preserve"> -tól</t>
  </si>
  <si>
    <t xml:space="preserve"> -ig</t>
  </si>
  <si>
    <t>Gyermekgondozási segély:</t>
  </si>
  <si>
    <t>gyed</t>
  </si>
  <si>
    <t>tgyás</t>
  </si>
  <si>
    <t>Igen</t>
  </si>
  <si>
    <t>Nincs</t>
  </si>
  <si>
    <t xml:space="preserve">Meg kell adni az előző éves jövedelmet vagy, ha nem tudjuk, akkor a havi átlagot, vagy a táppénz alapjának napi összegét.  </t>
  </si>
  <si>
    <t>Nem</t>
  </si>
  <si>
    <t xml:space="preserve"> 2 éven belül</t>
  </si>
  <si>
    <t>Nettó</t>
  </si>
  <si>
    <t>összeg</t>
  </si>
  <si>
    <t>562 nap is</t>
  </si>
  <si>
    <t>Ikergyerekek</t>
  </si>
  <si>
    <t>Gyes összegét befolyásoló körülmény</t>
  </si>
  <si>
    <t>(*) az szja levonásnál adójóváírást is figyelembe vettünk 2011-ig.</t>
  </si>
  <si>
    <t>Pénzbeli (3%) Egészségbiztosítási járulék alapot képező jövedelem az előző évben</t>
  </si>
  <si>
    <t>www.angyalado.hu</t>
  </si>
  <si>
    <t>Tgyás, Gyed, Gyes kalkulátor 2014</t>
  </si>
  <si>
    <t>2013.01.15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</si>
</sst>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[$-40E]yyyy\.\ mmmm\ d\."/>
    <numFmt numFmtId="166" formatCode="#,##0\ &quot;Ft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sz val="9"/>
      <color indexed="8"/>
      <name val="Calibri"/>
      <family val="2"/>
    </font>
    <font>
      <b/>
      <sz val="9"/>
      <color indexed="8"/>
      <name val="Tahoma"/>
      <family val="2"/>
    </font>
    <font>
      <b/>
      <i/>
      <sz val="9"/>
      <color indexed="8"/>
      <name val="Tahoma"/>
      <family val="2"/>
    </font>
    <font>
      <i/>
      <sz val="9"/>
      <color indexed="8"/>
      <name val="Tahoma"/>
      <family val="2"/>
    </font>
    <font>
      <i/>
      <sz val="8"/>
      <color indexed="8"/>
      <name val="Tahoma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u val="single"/>
      <sz val="9"/>
      <color indexed="8"/>
      <name val="Tahoma"/>
      <family val="2"/>
    </font>
    <font>
      <b/>
      <sz val="12"/>
      <color indexed="8"/>
      <name val="Calibri"/>
      <family val="2"/>
    </font>
    <font>
      <sz val="11"/>
      <color indexed="13"/>
      <name val="Calibri"/>
      <family val="2"/>
    </font>
    <font>
      <b/>
      <sz val="16"/>
      <color indexed="13"/>
      <name val="Tahoma"/>
      <family val="2"/>
    </font>
    <font>
      <b/>
      <sz val="14"/>
      <color indexed="13"/>
      <name val="Tahoma"/>
      <family val="2"/>
    </font>
    <font>
      <u val="single"/>
      <sz val="10"/>
      <color indexed="13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b/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b/>
      <sz val="11"/>
      <color indexed="13"/>
      <name val="Calibri"/>
      <family val="2"/>
    </font>
    <font>
      <u val="single"/>
      <sz val="11"/>
      <color indexed="20"/>
      <name val="Calibri"/>
      <family val="2"/>
    </font>
    <font>
      <b/>
      <u val="single"/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FFFF00"/>
      <name val="Calibri"/>
      <family val="2"/>
    </font>
    <font>
      <b/>
      <u val="single"/>
      <sz val="11"/>
      <color rgb="FFFFFF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double"/>
      <right style="double"/>
      <top style="double"/>
      <bottom style="double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1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/>
    </xf>
    <xf numFmtId="0" fontId="12" fillId="0" borderId="15" xfId="0" applyFont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/>
    </xf>
    <xf numFmtId="0" fontId="13" fillId="33" borderId="19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10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49" fontId="0" fillId="33" borderId="0" xfId="0" applyNumberFormat="1" applyFill="1" applyAlignment="1">
      <alignment/>
    </xf>
    <xf numFmtId="0" fontId="14" fillId="33" borderId="0" xfId="0" applyFont="1" applyFill="1" applyAlignment="1">
      <alignment/>
    </xf>
    <xf numFmtId="0" fontId="13" fillId="33" borderId="20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166" fontId="2" fillId="34" borderId="23" xfId="0" applyNumberFormat="1" applyFont="1" applyFill="1" applyBorder="1" applyAlignment="1">
      <alignment/>
    </xf>
    <xf numFmtId="166" fontId="2" fillId="34" borderId="24" xfId="0" applyNumberFormat="1" applyFont="1" applyFill="1" applyBorder="1" applyAlignment="1">
      <alignment/>
    </xf>
    <xf numFmtId="166" fontId="2" fillId="34" borderId="25" xfId="0" applyNumberFormat="1" applyFont="1" applyFill="1" applyBorder="1" applyAlignment="1">
      <alignment/>
    </xf>
    <xf numFmtId="14" fontId="0" fillId="33" borderId="0" xfId="0" applyNumberFormat="1" applyFill="1" applyAlignment="1">
      <alignment/>
    </xf>
    <xf numFmtId="0" fontId="8" fillId="33" borderId="26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16" fillId="35" borderId="0" xfId="0" applyFont="1" applyFill="1" applyAlignment="1">
      <alignment/>
    </xf>
    <xf numFmtId="0" fontId="16" fillId="35" borderId="30" xfId="0" applyFont="1" applyFill="1" applyBorder="1" applyAlignment="1">
      <alignment/>
    </xf>
    <xf numFmtId="0" fontId="17" fillId="35" borderId="31" xfId="0" applyFont="1" applyFill="1" applyBorder="1" applyAlignment="1">
      <alignment horizontal="left"/>
    </xf>
    <xf numFmtId="0" fontId="18" fillId="35" borderId="31" xfId="0" applyFont="1" applyFill="1" applyBorder="1" applyAlignment="1">
      <alignment horizontal="left"/>
    </xf>
    <xf numFmtId="0" fontId="16" fillId="35" borderId="31" xfId="0" applyFont="1" applyFill="1" applyBorder="1" applyAlignment="1">
      <alignment/>
    </xf>
    <xf numFmtId="0" fontId="16" fillId="35" borderId="32" xfId="0" applyFont="1" applyFill="1" applyBorder="1" applyAlignment="1">
      <alignment/>
    </xf>
    <xf numFmtId="0" fontId="0" fillId="35" borderId="10" xfId="0" applyFill="1" applyBorder="1" applyAlignment="1">
      <alignment/>
    </xf>
    <xf numFmtId="0" fontId="6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11" xfId="0" applyFill="1" applyBorder="1" applyAlignment="1">
      <alignment/>
    </xf>
    <xf numFmtId="0" fontId="19" fillId="35" borderId="0" xfId="0" applyFont="1" applyFill="1" applyAlignment="1">
      <alignment/>
    </xf>
    <xf numFmtId="166" fontId="2" fillId="36" borderId="33" xfId="0" applyNumberFormat="1" applyFont="1" applyFill="1" applyBorder="1" applyAlignment="1">
      <alignment horizontal="center"/>
    </xf>
    <xf numFmtId="14" fontId="2" fillId="36" borderId="25" xfId="0" applyNumberFormat="1" applyFont="1" applyFill="1" applyBorder="1" applyAlignment="1">
      <alignment horizontal="center"/>
    </xf>
    <xf numFmtId="166" fontId="2" fillId="36" borderId="34" xfId="0" applyNumberFormat="1" applyFont="1" applyFill="1" applyBorder="1" applyAlignment="1">
      <alignment/>
    </xf>
    <xf numFmtId="166" fontId="2" fillId="36" borderId="23" xfId="0" applyNumberFormat="1" applyFont="1" applyFill="1" applyBorder="1" applyAlignment="1">
      <alignment/>
    </xf>
    <xf numFmtId="166" fontId="2" fillId="36" borderId="35" xfId="0" applyNumberFormat="1" applyFont="1" applyFill="1" applyBorder="1" applyAlignment="1">
      <alignment/>
    </xf>
    <xf numFmtId="166" fontId="2" fillId="36" borderId="36" xfId="0" applyNumberFormat="1" applyFont="1" applyFill="1" applyBorder="1" applyAlignment="1">
      <alignment/>
    </xf>
    <xf numFmtId="166" fontId="2" fillId="36" borderId="37" xfId="0" applyNumberFormat="1" applyFont="1" applyFill="1" applyBorder="1" applyAlignment="1">
      <alignment/>
    </xf>
    <xf numFmtId="166" fontId="2" fillId="36" borderId="38" xfId="0" applyNumberFormat="1" applyFont="1" applyFill="1" applyBorder="1" applyAlignment="1">
      <alignment/>
    </xf>
    <xf numFmtId="166" fontId="2" fillId="36" borderId="39" xfId="0" applyNumberFormat="1" applyFont="1" applyFill="1" applyBorder="1" applyAlignment="1">
      <alignment/>
    </xf>
    <xf numFmtId="166" fontId="2" fillId="36" borderId="40" xfId="0" applyNumberFormat="1" applyFont="1" applyFill="1" applyBorder="1" applyAlignment="1">
      <alignment/>
    </xf>
    <xf numFmtId="166" fontId="2" fillId="36" borderId="41" xfId="0" applyNumberFormat="1" applyFont="1" applyFill="1" applyBorder="1" applyAlignment="1">
      <alignment/>
    </xf>
    <xf numFmtId="166" fontId="2" fillId="36" borderId="20" xfId="0" applyNumberFormat="1" applyFont="1" applyFill="1" applyBorder="1" applyAlignment="1">
      <alignment/>
    </xf>
    <xf numFmtId="166" fontId="2" fillId="36" borderId="25" xfId="0" applyNumberFormat="1" applyFont="1" applyFill="1" applyBorder="1" applyAlignment="1">
      <alignment/>
    </xf>
    <xf numFmtId="0" fontId="0" fillId="33" borderId="0" xfId="0" applyNumberFormat="1" applyFill="1" applyAlignment="1">
      <alignment/>
    </xf>
    <xf numFmtId="14" fontId="9" fillId="33" borderId="42" xfId="0" applyNumberFormat="1" applyFont="1" applyFill="1" applyBorder="1" applyAlignment="1">
      <alignment horizontal="center"/>
    </xf>
    <xf numFmtId="14" fontId="9" fillId="33" borderId="43" xfId="0" applyNumberFormat="1" applyFont="1" applyFill="1" applyBorder="1" applyAlignment="1">
      <alignment horizontal="center"/>
    </xf>
    <xf numFmtId="0" fontId="22" fillId="33" borderId="0" xfId="0" applyFont="1" applyFill="1" applyBorder="1" applyAlignment="1">
      <alignment/>
    </xf>
    <xf numFmtId="49" fontId="15" fillId="37" borderId="15" xfId="0" applyNumberFormat="1" applyFont="1" applyFill="1" applyBorder="1" applyAlignment="1" applyProtection="1">
      <alignment horizontal="center"/>
      <protection locked="0"/>
    </xf>
    <xf numFmtId="166" fontId="2" fillId="37" borderId="20" xfId="0" applyNumberFormat="1" applyFont="1" applyFill="1" applyBorder="1" applyAlignment="1" applyProtection="1">
      <alignment/>
      <protection locked="0"/>
    </xf>
    <xf numFmtId="166" fontId="2" fillId="37" borderId="25" xfId="0" applyNumberFormat="1" applyFont="1" applyFill="1" applyBorder="1" applyAlignment="1" applyProtection="1">
      <alignment horizontal="center"/>
      <protection locked="0"/>
    </xf>
    <xf numFmtId="49" fontId="2" fillId="37" borderId="25" xfId="0" applyNumberFormat="1" applyFont="1" applyFill="1" applyBorder="1" applyAlignment="1" applyProtection="1">
      <alignment horizontal="center"/>
      <protection locked="0"/>
    </xf>
    <xf numFmtId="49" fontId="2" fillId="37" borderId="0" xfId="0" applyNumberFormat="1" applyFont="1" applyFill="1" applyBorder="1" applyAlignment="1" applyProtection="1">
      <alignment horizontal="center"/>
      <protection locked="0"/>
    </xf>
    <xf numFmtId="0" fontId="9" fillId="33" borderId="44" xfId="0" applyFont="1" applyFill="1" applyBorder="1" applyAlignment="1">
      <alignment horizontal="center"/>
    </xf>
    <xf numFmtId="0" fontId="12" fillId="0" borderId="44" xfId="0" applyFont="1" applyBorder="1" applyAlignment="1">
      <alignment/>
    </xf>
    <xf numFmtId="0" fontId="59" fillId="35" borderId="0" xfId="0" applyFont="1" applyFill="1" applyAlignment="1">
      <alignment/>
    </xf>
    <xf numFmtId="0" fontId="60" fillId="35" borderId="0" xfId="43" applyFont="1" applyFill="1" applyAlignment="1" applyProtection="1">
      <alignment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gyalado.h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2" width="2.7109375" style="0" customWidth="1"/>
    <col min="3" max="3" width="14.140625" style="0" customWidth="1"/>
    <col min="4" max="4" width="13.7109375" style="0" customWidth="1"/>
    <col min="5" max="7" width="10.7109375" style="0" customWidth="1"/>
    <col min="8" max="8" width="11.421875" style="0" customWidth="1"/>
    <col min="9" max="9" width="10.140625" style="0" customWidth="1"/>
    <col min="10" max="10" width="2.7109375" style="0" customWidth="1"/>
    <col min="11" max="11" width="3.00390625" style="0" customWidth="1"/>
    <col min="12" max="12" width="46.7109375" style="0" customWidth="1"/>
    <col min="13" max="13" width="37.140625" style="0" customWidth="1"/>
    <col min="14" max="14" width="52.421875" style="0" customWidth="1"/>
  </cols>
  <sheetData>
    <row r="1" spans="1:14" ht="15.75" thickBo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1"/>
      <c r="M1" s="1"/>
      <c r="N1" s="1"/>
    </row>
    <row r="2" spans="1:14" ht="25.5" customHeight="1">
      <c r="A2" s="46"/>
      <c r="B2" s="47"/>
      <c r="C2" s="48" t="s">
        <v>37</v>
      </c>
      <c r="D2" s="49"/>
      <c r="E2" s="49"/>
      <c r="F2" s="49"/>
      <c r="G2" s="50"/>
      <c r="H2" s="50"/>
      <c r="I2" s="50"/>
      <c r="J2" s="51"/>
      <c r="K2" s="46"/>
      <c r="L2" s="1"/>
      <c r="M2" s="1"/>
      <c r="N2" s="1"/>
    </row>
    <row r="3" spans="1:14" ht="6.75" customHeight="1">
      <c r="A3" s="45"/>
      <c r="B3" s="3"/>
      <c r="C3" s="2"/>
      <c r="D3" s="2"/>
      <c r="E3" s="2"/>
      <c r="F3" s="2"/>
      <c r="G3" s="2"/>
      <c r="H3" s="2"/>
      <c r="I3" s="2"/>
      <c r="J3" s="4"/>
      <c r="K3" s="45"/>
      <c r="L3" s="1"/>
      <c r="M3" s="1"/>
      <c r="N3" s="1"/>
    </row>
    <row r="4" spans="1:14" ht="17.25" customHeight="1">
      <c r="A4" s="45"/>
      <c r="B4" s="3"/>
      <c r="C4" s="26" t="s">
        <v>16</v>
      </c>
      <c r="D4" s="11"/>
      <c r="E4" s="11"/>
      <c r="F4" s="11"/>
      <c r="G4" s="1"/>
      <c r="H4" s="76" t="s">
        <v>38</v>
      </c>
      <c r="I4" s="8"/>
      <c r="J4" s="4"/>
      <c r="K4" s="45"/>
      <c r="L4" s="1"/>
      <c r="M4" s="1"/>
      <c r="N4" s="1"/>
    </row>
    <row r="5" spans="1:15" ht="15" customHeight="1">
      <c r="A5" s="45"/>
      <c r="B5" s="3"/>
      <c r="C5" s="75" t="s">
        <v>33</v>
      </c>
      <c r="D5" s="11"/>
      <c r="E5" s="11"/>
      <c r="F5" s="11"/>
      <c r="G5" s="1"/>
      <c r="H5" s="80" t="s">
        <v>25</v>
      </c>
      <c r="I5" s="80"/>
      <c r="J5" s="4"/>
      <c r="K5" s="45"/>
      <c r="L5" s="1"/>
      <c r="M5" s="1"/>
      <c r="N5" s="1"/>
      <c r="O5" t="s">
        <v>25</v>
      </c>
    </row>
    <row r="6" spans="1:15" ht="5.25" customHeight="1">
      <c r="A6" s="45"/>
      <c r="B6" s="52"/>
      <c r="C6" s="53"/>
      <c r="D6" s="53"/>
      <c r="E6" s="53"/>
      <c r="F6" s="54"/>
      <c r="G6" s="45"/>
      <c r="H6" s="55"/>
      <c r="I6" s="56"/>
      <c r="J6" s="57"/>
      <c r="K6" s="45"/>
      <c r="L6" s="1"/>
      <c r="M6" s="1"/>
      <c r="N6" s="1"/>
      <c r="O6" t="s">
        <v>32</v>
      </c>
    </row>
    <row r="7" spans="1:14" ht="15" customHeight="1">
      <c r="A7" s="45"/>
      <c r="B7" s="3"/>
      <c r="C7" s="27" t="s">
        <v>35</v>
      </c>
      <c r="D7" s="1"/>
      <c r="E7" s="1"/>
      <c r="F7" s="1"/>
      <c r="G7" s="11"/>
      <c r="H7" s="10"/>
      <c r="I7" s="2"/>
      <c r="J7" s="4"/>
      <c r="K7" s="45"/>
      <c r="L7" s="1"/>
      <c r="M7" s="1"/>
      <c r="N7" s="1"/>
    </row>
    <row r="8" spans="1:14" ht="15" customHeight="1">
      <c r="A8" s="45"/>
      <c r="B8" s="3"/>
      <c r="C8" s="1"/>
      <c r="D8" s="13" t="s">
        <v>1</v>
      </c>
      <c r="E8" s="14"/>
      <c r="F8" s="13" t="s">
        <v>2</v>
      </c>
      <c r="G8" s="14"/>
      <c r="H8" s="13" t="s">
        <v>3</v>
      </c>
      <c r="I8" s="8"/>
      <c r="J8" s="4"/>
      <c r="K8" s="45"/>
      <c r="L8" s="1"/>
      <c r="M8" s="1"/>
      <c r="N8" s="1"/>
    </row>
    <row r="9" spans="1:14" ht="15" customHeight="1">
      <c r="A9" s="45"/>
      <c r="B9" s="3"/>
      <c r="C9" s="28" t="s">
        <v>8</v>
      </c>
      <c r="D9" s="77"/>
      <c r="E9" s="25" t="s">
        <v>8</v>
      </c>
      <c r="F9" s="78">
        <v>300000</v>
      </c>
      <c r="G9" s="24" t="s">
        <v>8</v>
      </c>
      <c r="H9" s="78"/>
      <c r="I9" s="8"/>
      <c r="J9" s="4"/>
      <c r="K9" s="45"/>
      <c r="L9" s="1"/>
      <c r="M9" s="1"/>
      <c r="N9" s="1"/>
    </row>
    <row r="10" spans="1:14" ht="6.75" customHeight="1" thickBot="1">
      <c r="A10" s="45"/>
      <c r="B10" s="3"/>
      <c r="C10" s="1"/>
      <c r="D10" s="1"/>
      <c r="E10" s="1"/>
      <c r="F10" s="1"/>
      <c r="G10" s="1"/>
      <c r="H10" s="1"/>
      <c r="I10" s="8"/>
      <c r="J10" s="4"/>
      <c r="K10" s="45"/>
      <c r="L10" s="1"/>
      <c r="M10" s="1"/>
      <c r="N10" s="1"/>
    </row>
    <row r="11" spans="1:14" ht="15" customHeight="1" thickBot="1" thickTop="1">
      <c r="A11" s="45"/>
      <c r="B11" s="3"/>
      <c r="C11" s="16" t="s">
        <v>4</v>
      </c>
      <c r="D11" s="11"/>
      <c r="E11" s="11"/>
      <c r="F11" s="11"/>
      <c r="G11" s="1"/>
      <c r="H11" s="59">
        <f>IF(D9&gt;0,INT(D9/365+0.5),IF(F9&gt;0,INT(F9*12/365+0.5),IF(H9&gt;0,H9,0)))</f>
        <v>9863</v>
      </c>
      <c r="I11" s="8" t="s">
        <v>5</v>
      </c>
      <c r="J11" s="4"/>
      <c r="K11" s="45"/>
      <c r="L11" s="1"/>
      <c r="M11" s="72"/>
      <c r="N11" s="1"/>
    </row>
    <row r="12" spans="1:14" ht="8.25" customHeight="1" thickTop="1">
      <c r="A12" s="45"/>
      <c r="B12" s="17"/>
      <c r="C12" s="1"/>
      <c r="D12" s="1"/>
      <c r="E12" s="1"/>
      <c r="F12" s="1"/>
      <c r="G12" s="1"/>
      <c r="H12" s="8"/>
      <c r="I12" s="2"/>
      <c r="J12" s="4"/>
      <c r="K12" s="45"/>
      <c r="L12" s="1"/>
      <c r="M12" s="1"/>
      <c r="N12" s="1"/>
    </row>
    <row r="13" spans="1:15" ht="15" customHeight="1">
      <c r="A13" s="45"/>
      <c r="B13" s="3"/>
      <c r="C13" s="15" t="s">
        <v>17</v>
      </c>
      <c r="D13" s="11"/>
      <c r="E13" s="11"/>
      <c r="F13" s="29" t="str">
        <f>IF(H4&gt;"2010.04.30","365 napos biztosítási idő","180 napos biztosítási idő")</f>
        <v>365 napos biztosítási idő</v>
      </c>
      <c r="G13" s="30"/>
      <c r="H13" s="79" t="s">
        <v>31</v>
      </c>
      <c r="I13" s="33" t="s">
        <v>28</v>
      </c>
      <c r="J13" s="34"/>
      <c r="K13" s="45"/>
      <c r="L13" s="1"/>
      <c r="M13" s="1"/>
      <c r="N13" s="1"/>
      <c r="O13" t="s">
        <v>31</v>
      </c>
    </row>
    <row r="14" spans="1:15" ht="7.5" customHeight="1">
      <c r="A14" s="45"/>
      <c r="B14" s="52"/>
      <c r="C14" s="53"/>
      <c r="D14" s="53"/>
      <c r="E14" s="53"/>
      <c r="F14" s="54"/>
      <c r="G14" s="45"/>
      <c r="H14" s="55"/>
      <c r="I14" s="56"/>
      <c r="J14" s="57"/>
      <c r="K14" s="45"/>
      <c r="L14" s="1"/>
      <c r="M14" s="1"/>
      <c r="N14" s="1"/>
      <c r="O14" t="s">
        <v>24</v>
      </c>
    </row>
    <row r="15" spans="1:15" ht="15" customHeight="1">
      <c r="A15" s="45"/>
      <c r="B15" s="3"/>
      <c r="C15" s="11"/>
      <c r="D15" s="11"/>
      <c r="E15" s="11"/>
      <c r="F15" s="18"/>
      <c r="G15" s="1"/>
      <c r="H15" s="19" t="s">
        <v>7</v>
      </c>
      <c r="I15" s="2"/>
      <c r="J15" s="4"/>
      <c r="K15" s="45"/>
      <c r="L15" s="1"/>
      <c r="M15" s="1"/>
      <c r="N15" s="1"/>
      <c r="O15" t="s">
        <v>27</v>
      </c>
    </row>
    <row r="16" spans="1:14" ht="14.25" customHeight="1">
      <c r="A16" s="45"/>
      <c r="B16" s="3"/>
      <c r="C16" s="32" t="s">
        <v>6</v>
      </c>
      <c r="D16" s="12"/>
      <c r="E16" s="12"/>
      <c r="F16" s="60">
        <f>IF(MID(H13,1,1)&lt;&gt;"N",DATEVALUE(H4),"")</f>
        <v>41289</v>
      </c>
      <c r="G16" s="31" t="s">
        <v>19</v>
      </c>
      <c r="H16" s="60">
        <f>IF(MID(H13,1,1)&lt;&gt;"N",H4+167,"")</f>
        <v>41456</v>
      </c>
      <c r="I16" s="31" t="s">
        <v>20</v>
      </c>
      <c r="J16" s="4"/>
      <c r="K16" s="45"/>
      <c r="L16" s="1"/>
      <c r="M16" s="1"/>
      <c r="N16" s="1"/>
    </row>
    <row r="17" spans="1:14" ht="7.5" customHeight="1">
      <c r="A17" s="45"/>
      <c r="B17" s="3"/>
      <c r="C17" s="11"/>
      <c r="D17" s="11"/>
      <c r="E17" s="11"/>
      <c r="F17" s="11"/>
      <c r="G17" s="1"/>
      <c r="H17" s="8"/>
      <c r="I17" s="2"/>
      <c r="J17" s="4"/>
      <c r="K17" s="45"/>
      <c r="L17" s="1"/>
      <c r="M17" s="1"/>
      <c r="N17" s="1"/>
    </row>
    <row r="18" spans="1:14" ht="13.5" customHeight="1">
      <c r="A18" s="45"/>
      <c r="B18" s="3"/>
      <c r="C18" s="32" t="s">
        <v>9</v>
      </c>
      <c r="D18" s="12"/>
      <c r="E18" s="12"/>
      <c r="F18" s="60">
        <f>IF(MID(H13,1,1)&lt;"N",H16+1,"")</f>
        <v>41457</v>
      </c>
      <c r="G18" s="31" t="s">
        <v>19</v>
      </c>
      <c r="H18" s="60">
        <f>IF(MID(H13,1,1)&lt;&gt;"N",IF(AND(H4&gt;"2010.04.30",MID(H13,1,1)="I"),F18+364,F18+562),"")</f>
        <v>42019</v>
      </c>
      <c r="I18" s="31" t="s">
        <v>20</v>
      </c>
      <c r="J18" s="4"/>
      <c r="K18" s="45"/>
      <c r="L18" s="1"/>
      <c r="M18" s="1"/>
      <c r="N18" s="1"/>
    </row>
    <row r="19" spans="1:14" ht="7.5" customHeight="1">
      <c r="A19" s="45"/>
      <c r="B19" s="3"/>
      <c r="C19" s="11"/>
      <c r="D19" s="11"/>
      <c r="E19" s="11"/>
      <c r="F19" s="11"/>
      <c r="G19" s="20"/>
      <c r="H19" s="8"/>
      <c r="I19" s="2"/>
      <c r="J19" s="4"/>
      <c r="K19" s="45"/>
      <c r="L19" s="1"/>
      <c r="M19" s="1"/>
      <c r="N19" s="1"/>
    </row>
    <row r="20" spans="1:14" ht="15" customHeight="1">
      <c r="A20" s="45"/>
      <c r="B20" s="3"/>
      <c r="C20" s="32" t="s">
        <v>21</v>
      </c>
      <c r="D20" s="12"/>
      <c r="E20" s="12"/>
      <c r="F20" s="60">
        <f>IF(OR(MID(H13,1,1)="I",MID(H13,1,1)="5"),H18+1,H4)</f>
        <v>42020</v>
      </c>
      <c r="G20" s="31" t="s">
        <v>19</v>
      </c>
      <c r="H20" s="60">
        <f>IF(F20="","",IF(AND(H4&gt;"2010.04.30",MID(H13,1,1)="5"),F20+365,IF(AND(H4&lt;"2010.05.01",MID(H13,1,1)&lt;&gt;"N"),F20+364,IF(AND(H4&gt;"2010.04.30",MID(H13,1,1)="N"),F20+1095,IF(AND(H4&gt;"2010.04.30",MID(H13,1,1)&lt;&gt;"N"),F20+563,F20+1095)))))</f>
        <v>42385</v>
      </c>
      <c r="I20" s="31" t="s">
        <v>20</v>
      </c>
      <c r="J20" s="4"/>
      <c r="K20" s="45"/>
      <c r="L20" s="1"/>
      <c r="M20" s="1"/>
      <c r="N20" s="1"/>
    </row>
    <row r="21" spans="1:14" ht="15">
      <c r="A21" s="45"/>
      <c r="B21" s="3"/>
      <c r="C21" s="12"/>
      <c r="D21" s="12"/>
      <c r="E21" s="43" t="s">
        <v>12</v>
      </c>
      <c r="F21" s="12"/>
      <c r="G21" s="81" t="s">
        <v>13</v>
      </c>
      <c r="H21" s="82"/>
      <c r="I21" s="44" t="s">
        <v>29</v>
      </c>
      <c r="J21" s="4"/>
      <c r="K21" s="45"/>
      <c r="L21" s="1"/>
      <c r="M21" s="1"/>
      <c r="N21" s="1"/>
    </row>
    <row r="22" spans="1:14" ht="15">
      <c r="A22" s="45"/>
      <c r="B22" s="3"/>
      <c r="C22" s="21" t="s">
        <v>14</v>
      </c>
      <c r="D22" s="22" t="s">
        <v>23</v>
      </c>
      <c r="E22" s="23" t="s">
        <v>22</v>
      </c>
      <c r="F22" s="39" t="s">
        <v>10</v>
      </c>
      <c r="G22" s="40" t="s">
        <v>15</v>
      </c>
      <c r="H22" s="42" t="s">
        <v>11</v>
      </c>
      <c r="I22" s="41" t="s">
        <v>30</v>
      </c>
      <c r="J22" s="4"/>
      <c r="K22" s="45"/>
      <c r="L22" s="1"/>
      <c r="M22" s="1"/>
      <c r="N22" s="1"/>
    </row>
    <row r="23" spans="1:14" ht="15">
      <c r="A23" s="45"/>
      <c r="B23" s="3"/>
      <c r="C23" s="74">
        <f>DATEVALUE(MID(H4,1,7)&amp;".01")</f>
        <v>41275</v>
      </c>
      <c r="D23" s="61">
        <f>IF(AND(F16&lt;C24,H16&gt;=C23),(C24-F16)*H11*0.7,0)</f>
        <v>117369.7</v>
      </c>
      <c r="E23" s="36"/>
      <c r="F23" s="63">
        <f>IF(F20="",0,IF(AND(F20&lt;C24,H20&gt;=C23),IF(C23&gt;=F20,28500,(C24-F20)*IF(MID(H5,1,1)="I",2,1)*28500/30),0))</f>
        <v>0</v>
      </c>
      <c r="G23" s="64">
        <f>IF(YEAR(C23)=2009,0.18,IF(YEAR(C23)=2010,0.2159,IF(YEAR(C23)=2011,0.2032,IF(YEAR(C23)=2012,0.16,0.16))))*(D23+E23+IF(YEAR(C23)=2012,MAX(D23+E23-202000,0)*0.27,0))-IF(YEAR(C23)=2009,MIN((D23+E23)*0.18,11340),IF(YEAR(C23)=2010,MIN((D23+E23)*0.2159,15100),IF(YEAR(C23)=2011,MIN((D23+E23)*0.2032,12100),0)))</f>
        <v>18779.152</v>
      </c>
      <c r="H23" s="65">
        <f aca="true" t="shared" si="0" ref="H23:H59">INT((E23+F23)*IF(YEAR(C23)&gt;=2011,0.1,0.095)+0.5)</f>
        <v>0</v>
      </c>
      <c r="I23" s="66">
        <f>D23+E23+F23-G23-H23</f>
        <v>98590.548</v>
      </c>
      <c r="J23" s="4"/>
      <c r="K23" s="45"/>
      <c r="L23" s="1"/>
      <c r="M23" s="1"/>
      <c r="N23" s="38"/>
    </row>
    <row r="24" spans="1:14" ht="15">
      <c r="A24" s="45"/>
      <c r="B24" s="3"/>
      <c r="C24" s="73">
        <f>C23+IF(OR(MONTH(C23)=1,MONTH(C23)=3,MONTH(C23)=5,MONTH(C23)=7,MONTH(C23)=8,MONTH(C23)=10,MONTH(C23)=12),31,IF(MONTH(C23)=2,IF(YEAR(C23)=2012,29,28),30))</f>
        <v>41306</v>
      </c>
      <c r="D24" s="62">
        <f>IF(AND(F16&lt;C25,H16&gt;=C24),(C25-C24)*H11*0.7,0)</f>
        <v>193314.8</v>
      </c>
      <c r="E24" s="37"/>
      <c r="F24" s="63">
        <f>IF(F20="",0,IF(AND(F20&lt;C25,H20&gt;=C24),IF(MID(H5,1,1)="I",2,1)*28500,0))</f>
        <v>0</v>
      </c>
      <c r="G24" s="67">
        <f>IF(YEAR(C24)=2009,0.18,IF(YEAR(C24)=2010,0.2159,IF(YEAR(C24)=2011,0.2032,IF(YEAR(C24)=2012,0.16,0.16))))*(D24+E24+IF(YEAR(C23)=2012,MAX(D24+E24-202000,0)*0.27,0))-IF(YEAR(C24)=2009,MIN((D24+E24)*0.18,11340),IF(YEAR(C24)=2010,MIN((D24+E24)*0.2159,15100),IF(YEAR(C24)=2011,MIN((D24+E24)*0.2032,12100),0)))</f>
        <v>30930.368</v>
      </c>
      <c r="H24" s="68">
        <f t="shared" si="0"/>
        <v>0</v>
      </c>
      <c r="I24" s="69">
        <f>D24+E24+F24-G24-H24</f>
        <v>162384.432</v>
      </c>
      <c r="J24" s="4"/>
      <c r="K24" s="45"/>
      <c r="L24" s="1"/>
      <c r="M24" s="1"/>
      <c r="N24" s="38"/>
    </row>
    <row r="25" spans="1:14" ht="15">
      <c r="A25" s="45"/>
      <c r="B25" s="3"/>
      <c r="C25" s="73">
        <f aca="true" t="shared" si="1" ref="C25:C60">C24+IF(OR(MONTH(C24)=1,MONTH(C24)=3,MONTH(C24)=5,MONTH(C24)=7,MONTH(C24)=8,MONTH(C24)=10,MONTH(C24)=12),31,IF(MONTH(C24)=2,IF(YEAR(C24)=2012,29,28),30))</f>
        <v>41334</v>
      </c>
      <c r="D25" s="62">
        <f>IF(AND(F16&lt;C26,H16&gt;=C25),(C26-C25)*H11*0.7,0)</f>
        <v>214027.09999999998</v>
      </c>
      <c r="E25" s="37"/>
      <c r="F25" s="70">
        <f>IF(F20="",0,IF(AND(F20&lt;C26,H20&gt;=C25),IF(MID(H5,1,1)="I",2,1)*28500,0))</f>
        <v>0</v>
      </c>
      <c r="G25" s="67">
        <f>IF(YEAR(C25)=2009,0.18,IF(YEAR(C25)=2010,0.2159,IF(YEAR(C25)=2011,0.2032,IF(YEAR(C25)=2012,0.16,0.16))))*(D25+E25+IF(YEAR(C23)=2012,MAX(D25+E25-202000,0)*0.27,0))-IF(YEAR(C25)=2009,MIN((D25+E25)*0.18,11340),IF(YEAR(C25)=2010,MIN((D25+E25)*0.2159,15100),IF(YEAR(C25)=2011,MIN((D25+E25)*0.2032,12100),0)))</f>
        <v>34244.335999999996</v>
      </c>
      <c r="H25" s="68">
        <f t="shared" si="0"/>
        <v>0</v>
      </c>
      <c r="I25" s="69">
        <f aca="true" t="shared" si="2" ref="I25:I58">D25+E25+F25-G25-H25</f>
        <v>179782.76399999997</v>
      </c>
      <c r="J25" s="4"/>
      <c r="K25" s="45"/>
      <c r="L25" s="1"/>
      <c r="M25" s="1"/>
      <c r="N25" s="1"/>
    </row>
    <row r="26" spans="1:14" ht="15">
      <c r="A26" s="45"/>
      <c r="B26" s="3"/>
      <c r="C26" s="73">
        <f t="shared" si="1"/>
        <v>41365</v>
      </c>
      <c r="D26" s="62">
        <f>IF(AND(F16&lt;C27,H16&gt;=C26),(C27-C26)*H11*0.7,0)</f>
        <v>207123</v>
      </c>
      <c r="E26" s="37"/>
      <c r="F26" s="70">
        <f>IF(F20="",0,IF(AND(F20&lt;C27,H20&gt;=C26),IF(MID(H5,1,1)="I",2,1)*28500,0))</f>
        <v>0</v>
      </c>
      <c r="G26" s="67">
        <f>IF(YEAR(C26)=2009,0.18,IF(YEAR(C26)=2010,0.2159,IF(YEAR(C26)=2011,0.2032,IF(YEAR(C26)=2012,0.16,0.16))))*(D26+E26+IF(YEAR(C23)=2012,MAX(D26+E26-202000,0)*0.27,0))-IF(YEAR(C26)=2009,MIN((D26+E26)*0.18,11340),IF(YEAR(C26)=2010,MIN((D26+E26)*0.2159,15100),IF(YEAR(C26)=2011,MIN((D26+E26)*0.2032,12100),0)))</f>
        <v>33139.68</v>
      </c>
      <c r="H26" s="68">
        <f t="shared" si="0"/>
        <v>0</v>
      </c>
      <c r="I26" s="69">
        <f t="shared" si="2"/>
        <v>173983.32</v>
      </c>
      <c r="J26" s="4"/>
      <c r="K26" s="45"/>
      <c r="L26" s="1"/>
      <c r="M26" s="1"/>
      <c r="N26" s="1"/>
    </row>
    <row r="27" spans="1:14" ht="15">
      <c r="A27" s="45"/>
      <c r="B27" s="3"/>
      <c r="C27" s="73">
        <f t="shared" si="1"/>
        <v>41395</v>
      </c>
      <c r="D27" s="62">
        <f>IF(AND(F16&lt;C28,H16&gt;=C27),(C28-C27)*H11*0.7,0)</f>
        <v>214027.09999999998</v>
      </c>
      <c r="E27" s="37"/>
      <c r="F27" s="70">
        <f>IF(F20="",0,IF(AND(F20&lt;C28,H20&gt;=C27),IF(MID(H5,1,1)="I",2,1)*28500,0))</f>
        <v>0</v>
      </c>
      <c r="G27" s="67">
        <f>IF(YEAR(C27)=2009,0.18,IF(YEAR(C27)=2010,0.2159,IF(YEAR(C27)=2011,0.2032,IF(YEAR(C27)=2012,0.16,0.16))))*(D27+E27+IF(YEAR(C23)=2012,MAX(D27+E27-202000,0)*0.27,0))-IF(YEAR(C27)=2009,MIN((D27+E27)*0.18,11340),IF(YEAR(C27)=2010,MIN((D27+E27)*0.2159,15100),IF(YEAR(C27)=2011,MIN((D27+E27)*0.2032,12100),0)))</f>
        <v>34244.335999999996</v>
      </c>
      <c r="H27" s="68">
        <f t="shared" si="0"/>
        <v>0</v>
      </c>
      <c r="I27" s="69">
        <f t="shared" si="2"/>
        <v>179782.76399999997</v>
      </c>
      <c r="J27" s="4"/>
      <c r="K27" s="45"/>
      <c r="L27" s="1"/>
      <c r="M27" s="1"/>
      <c r="N27" s="1"/>
    </row>
    <row r="28" spans="1:14" ht="15">
      <c r="A28" s="45"/>
      <c r="B28" s="3"/>
      <c r="C28" s="73">
        <f t="shared" si="1"/>
        <v>41426</v>
      </c>
      <c r="D28" s="62">
        <f>IF(AND(F16&lt;C29,H16&gt;=C28),IF(H16&lt;C29,H16-C28+1,(C29-C28))*H11*0.7,0)</f>
        <v>207123</v>
      </c>
      <c r="E28" s="71">
        <f>IF(AND(F18&lt;C29,H18&gt;=C28),IF(F18&gt;=C28,MIN((C29-F18)*H11*0.7,2*IF(YEAR(C28)&gt;2013,101500,98000)*0.7/30*(C29-F18)),MIN((C29-C28)*H11*0.7,2*IF(YEAR(C28)&gt;2013,101500,98000)*0.7)),0)</f>
        <v>0</v>
      </c>
      <c r="F28" s="70">
        <f>IF(F20="",0,IF(AND(F20&lt;C29,H20&gt;=C28),IF(MID(H5,1,1)="I",2,1)*28500,0))</f>
        <v>0</v>
      </c>
      <c r="G28" s="67">
        <f>IF(YEAR(C28)=2009,0.18,IF(YEAR(C28)=2010,0.2159,IF(YEAR(C28)=2011,0.2032,IF(YEAR(C28)=2012,0.16,0.16))))*(D28+E28+IF(YEAR(C23)=2012,MAX(D28+E28-202000,0)*0.27,0))-IF(YEAR(C28)=2009,MIN((D28+E28)*0.18,11340),IF(YEAR(C28)=2010,MIN((D28+E28)*0.2159,15100),IF(YEAR(C28)=2011,MIN((D28+E28)*0.2032,12100),0)))</f>
        <v>33139.68</v>
      </c>
      <c r="H28" s="68">
        <f t="shared" si="0"/>
        <v>0</v>
      </c>
      <c r="I28" s="69">
        <f t="shared" si="2"/>
        <v>173983.32</v>
      </c>
      <c r="J28" s="4"/>
      <c r="K28" s="45"/>
      <c r="L28" s="1"/>
      <c r="M28" s="1"/>
      <c r="N28" s="1"/>
    </row>
    <row r="29" spans="1:14" ht="15">
      <c r="A29" s="45"/>
      <c r="B29" s="3"/>
      <c r="C29" s="73">
        <f t="shared" si="1"/>
        <v>41456</v>
      </c>
      <c r="D29" s="62">
        <f>IF(AND(F16&lt;C30,H16&gt;=C29),IF(H16&lt;C30,H16-C29+1,(C30-C29))*H11*0.7,0)</f>
        <v>6904.099999999999</v>
      </c>
      <c r="E29" s="71">
        <f>IF(AND(F18&lt;C30,H18&gt;=C29),IF(F18&gt;=C29,MIN((C30-F18)*H11*0.7,2*IF(YEAR(C29)&gt;2013,101500,98000)*0.7/30*(C30-F18)),MIN((C30-C29)*H11*0.7,2*IF(YEAR(C29)&gt;2013,101500,98000)*0.7)),0)</f>
        <v>137200</v>
      </c>
      <c r="F29" s="70">
        <f>IF(F20="",0,IF(AND(F20&lt;C30,H20&gt;=C29),IF(MID(H5,1,1)="I",2,1)*28500,0))</f>
        <v>0</v>
      </c>
      <c r="G29" s="67">
        <f>IF(YEAR(C29)=2009,0.18,IF(YEAR(C29)=2010,0.2159,IF(YEAR(C29)=2011,0.2032,IF(YEAR(C29)=2012,0.16,0.16))))*(D29+E29+IF(YEAR(C23)=2012,MAX(D29+E29-202000,0)*0.27,0))-IF(YEAR(C29)=2009,MIN((D29+E29)*0.18,11340),IF(YEAR(C29)=2010,MIN((D29+E29)*0.2159,15100),IF(YEAR(C29)=2011,MIN((D29+E29)*0.2032,12100),0)))</f>
        <v>23056.656000000003</v>
      </c>
      <c r="H29" s="68">
        <f t="shared" si="0"/>
        <v>13720</v>
      </c>
      <c r="I29" s="69">
        <f t="shared" si="2"/>
        <v>107327.444</v>
      </c>
      <c r="J29" s="4"/>
      <c r="K29" s="45"/>
      <c r="L29" s="1"/>
      <c r="M29" s="1"/>
      <c r="N29" s="1"/>
    </row>
    <row r="30" spans="1:14" ht="15">
      <c r="A30" s="45"/>
      <c r="B30" s="3"/>
      <c r="C30" s="73">
        <f t="shared" si="1"/>
        <v>41487</v>
      </c>
      <c r="D30" s="35"/>
      <c r="E30" s="71">
        <f>MIN(IF(AND(F18&lt;C31,H18&gt;=C30),(C31-C30))*H11*0.7,2*IF(YEAR(C30)&gt;2013,101500,98000)*0.7)</f>
        <v>137200</v>
      </c>
      <c r="F30" s="70">
        <f>IF(F20="",0,IF(AND(F20&lt;C31,H20&gt;=C30),IF(MID(H5,1,1)="I",2,1)*28500,0))</f>
        <v>0</v>
      </c>
      <c r="G30" s="67">
        <f>IF(YEAR(C30)=2009,0.18,IF(YEAR(C30)=2010,0.2159,IF(YEAR(C30)=2011,0.2032,IF(YEAR(C30)=2012,0.16,0.16))))*(D30+E30+IF(YEAR(C23)=2012,MAX(D30+E30-202000,0)*0.27,0))-IF(YEAR(C30)=2009,MIN((D30+E30)*0.18,11340),IF(YEAR(C30)=2010,MIN((D30+E30)*0.2159,15100),IF(YEAR(C30)=2011,MIN((D30+E30)*0.2032,12100),0)))</f>
        <v>21952</v>
      </c>
      <c r="H30" s="68">
        <f t="shared" si="0"/>
        <v>13720</v>
      </c>
      <c r="I30" s="69">
        <f t="shared" si="2"/>
        <v>101528</v>
      </c>
      <c r="J30" s="4"/>
      <c r="K30" s="45"/>
      <c r="L30" s="1"/>
      <c r="M30" s="1"/>
      <c r="N30" s="1"/>
    </row>
    <row r="31" spans="1:14" ht="15">
      <c r="A31" s="45"/>
      <c r="B31" s="3"/>
      <c r="C31" s="73">
        <f t="shared" si="1"/>
        <v>41518</v>
      </c>
      <c r="D31" s="35"/>
      <c r="E31" s="71">
        <f>MIN(IF(AND(F18&lt;C32,H18&gt;=C31),(C32-C31))*H11*0.7,2*IF(YEAR(C31)&gt;2013,101500,98000)*0.7)</f>
        <v>137200</v>
      </c>
      <c r="F31" s="70">
        <f>IF(F20="",0,IF(AND(F20&lt;C32,H20&gt;=C31),IF(MID(H5,1,1)="I",2,1)*28500,0))</f>
        <v>0</v>
      </c>
      <c r="G31" s="67">
        <f>IF(YEAR(C31)=2009,0.18,IF(YEAR(C31)=2010,0.2159,IF(YEAR(C31)=2011,0.2032,IF(YEAR(C31)=2012,0.16,0.16))))*(D31+E31+IF(YEAR(C23)=2012,MAX(D31+E31-202000,0)*0.27,0))-IF(YEAR(C31)=2009,MIN((D31+E31)*0.18,11340),IF(YEAR(C31)=2010,MIN((D31+E31)*0.2159,15100),IF(YEAR(C31)=2011,MIN((D31+E31)*0.2032,12100),0)))</f>
        <v>21952</v>
      </c>
      <c r="H31" s="68">
        <f t="shared" si="0"/>
        <v>13720</v>
      </c>
      <c r="I31" s="69">
        <f t="shared" si="2"/>
        <v>101528</v>
      </c>
      <c r="J31" s="4"/>
      <c r="K31" s="45"/>
      <c r="L31" s="1"/>
      <c r="M31" s="1"/>
      <c r="N31" s="1"/>
    </row>
    <row r="32" spans="1:14" ht="15">
      <c r="A32" s="45"/>
      <c r="B32" s="3"/>
      <c r="C32" s="73">
        <f t="shared" si="1"/>
        <v>41548</v>
      </c>
      <c r="D32" s="35"/>
      <c r="E32" s="71">
        <f>MIN(IF(AND(F18&lt;C33,H18&gt;=C32),(C33-C32))*H11*0.7,2*IF(YEAR(C32)&gt;2013,101500,98000)*0.7)</f>
        <v>137200</v>
      </c>
      <c r="F32" s="70">
        <f>IF(F20="",0,IF(AND(F20&lt;C33,H20&gt;=C32),IF(MID(H5,1,1)="I",2,1)*28500,0))</f>
        <v>0</v>
      </c>
      <c r="G32" s="67">
        <f>IF(YEAR(C32)=2009,0.18,IF(YEAR(C32)=2010,0.2159,IF(YEAR(C32)=2011,0.2032,IF(YEAR(C32)=2012,0.16,0.16))))*(D32+E32+IF(YEAR(C23)=2012,MAX(D32+E32-202000,0)*0.27,0))-IF(YEAR(C32)=2009,MIN((D32+E32)*0.18,11340),IF(YEAR(C32)=2010,MIN((D32+E32)*0.2159,15100),IF(YEAR(C32)=2011,MIN((D32+E32)*0.2032,12100),0)))</f>
        <v>21952</v>
      </c>
      <c r="H32" s="68">
        <f t="shared" si="0"/>
        <v>13720</v>
      </c>
      <c r="I32" s="69">
        <f t="shared" si="2"/>
        <v>101528</v>
      </c>
      <c r="J32" s="4"/>
      <c r="K32" s="45"/>
      <c r="L32" s="1"/>
      <c r="M32" s="1"/>
      <c r="N32" s="1"/>
    </row>
    <row r="33" spans="1:14" ht="15">
      <c r="A33" s="45"/>
      <c r="B33" s="3"/>
      <c r="C33" s="73">
        <f t="shared" si="1"/>
        <v>41579</v>
      </c>
      <c r="D33" s="35"/>
      <c r="E33" s="71">
        <f>MIN(IF(AND(F18&lt;C34,H18&gt;=C33),(C34-C33))*H11*0.7,2*IF(YEAR(C33)&gt;2013,101500,98000)*0.7)</f>
        <v>137200</v>
      </c>
      <c r="F33" s="70">
        <f>IF(F20="",0,IF(AND(F20&lt;C34,H20&gt;=C33),IF(MID(H5,1,1)="I",2,1)*28500,0))</f>
        <v>0</v>
      </c>
      <c r="G33" s="67">
        <f>IF(YEAR(C33)=2009,0.18,IF(YEAR(C33)=2010,0.2159,IF(YEAR(C33)=2011,0.2032,IF(YEAR(C33)=2012,0.16,0.16))))*(D33+E33)-IF(YEAR(C33)=2009,MIN((D33+E33)*0.18,11340),IF(YEAR(C33)=2010,MIN((D33+E33)*0.2159,15100),IF(YEAR(C33)=2011,MIN((D33+E33)*0.2032,12100),0)))</f>
        <v>21952</v>
      </c>
      <c r="H33" s="68">
        <f t="shared" si="0"/>
        <v>13720</v>
      </c>
      <c r="I33" s="69">
        <f t="shared" si="2"/>
        <v>101528</v>
      </c>
      <c r="J33" s="4"/>
      <c r="K33" s="45"/>
      <c r="L33" s="1"/>
      <c r="M33" s="1"/>
      <c r="N33" s="1"/>
    </row>
    <row r="34" spans="1:14" ht="15">
      <c r="A34" s="45"/>
      <c r="B34" s="3"/>
      <c r="C34" s="73">
        <f t="shared" si="1"/>
        <v>41609</v>
      </c>
      <c r="D34" s="35"/>
      <c r="E34" s="71">
        <f>MIN(IF(AND(F18&lt;C35,H18&gt;=C34),(C35-C34))*H11*0.7,2*IF(YEAR(C34)&gt;2013,101500,98000)*0.7)</f>
        <v>137200</v>
      </c>
      <c r="F34" s="70">
        <f>IF(F20="",0,IF(AND(F20&lt;C35,H20&gt;=C34),IF(MID(H5,1,1)="I",2,1)*28500,0))</f>
        <v>0</v>
      </c>
      <c r="G34" s="67">
        <f aca="true" t="shared" si="3" ref="G33:G38">IF(YEAR(C34)=2009,0.18,IF(YEAR(C34)=2010,0.2159,IF(YEAR(C34)=2011,0.2032,IF(YEAR(C34)=2012,0.16,0.16))))*(D34+E34)-IF(YEAR(C34)=2009,MIN((D34+E34)*0.18,11340),IF(YEAR(C34)=2010,MIN((D34+E34)*0.2159,15100),IF(YEAR(C34)=2011,MIN((D34+E34)*0.2032,12100),0)))</f>
        <v>21952</v>
      </c>
      <c r="H34" s="68">
        <f t="shared" si="0"/>
        <v>13720</v>
      </c>
      <c r="I34" s="69">
        <f t="shared" si="2"/>
        <v>101528</v>
      </c>
      <c r="J34" s="4"/>
      <c r="K34" s="45"/>
      <c r="L34" s="1"/>
      <c r="M34" s="1"/>
      <c r="N34" s="1"/>
    </row>
    <row r="35" spans="1:14" ht="15">
      <c r="A35" s="45"/>
      <c r="B35" s="3"/>
      <c r="C35" s="73">
        <f t="shared" si="1"/>
        <v>41640</v>
      </c>
      <c r="D35" s="35"/>
      <c r="E35" s="71">
        <f>MIN(IF(AND(F18&lt;C36,H18&gt;=C35),(C36-C35))*H11*0.7,2*IF(YEAR(C35)&gt;2013,101500,98000)*0.7)</f>
        <v>142100</v>
      </c>
      <c r="F35" s="70">
        <f>IF(F20="",0,IF(AND(F20&lt;C36,H20&gt;=C35),IF(MID(H5,1,1)="I",2,1)*28500,0))</f>
        <v>0</v>
      </c>
      <c r="G35" s="67">
        <f t="shared" si="3"/>
        <v>22736</v>
      </c>
      <c r="H35" s="68">
        <f t="shared" si="0"/>
        <v>14210</v>
      </c>
      <c r="I35" s="69">
        <f t="shared" si="2"/>
        <v>105154</v>
      </c>
      <c r="J35" s="4"/>
      <c r="K35" s="45"/>
      <c r="L35" s="1"/>
      <c r="M35" s="1"/>
      <c r="N35" s="1"/>
    </row>
    <row r="36" spans="1:14" ht="15">
      <c r="A36" s="45"/>
      <c r="B36" s="3"/>
      <c r="C36" s="73">
        <f t="shared" si="1"/>
        <v>41671</v>
      </c>
      <c r="D36" s="35"/>
      <c r="E36" s="71">
        <f>MIN(IF(AND(F18&lt;C37,H18&gt;=C36),(C37-C36))*H11*0.7,2*IF(YEAR(C36)&gt;2013,101500,98000)*0.7)</f>
        <v>142100</v>
      </c>
      <c r="F36" s="70">
        <f>IF(F20="",0,IF(AND(F20&lt;C37,H20&gt;=C36),IF(MID(H5,1,1)="I",2,1)*28500,0))</f>
        <v>0</v>
      </c>
      <c r="G36" s="67">
        <f t="shared" si="3"/>
        <v>22736</v>
      </c>
      <c r="H36" s="68">
        <f t="shared" si="0"/>
        <v>14210</v>
      </c>
      <c r="I36" s="69">
        <f t="shared" si="2"/>
        <v>105154</v>
      </c>
      <c r="J36" s="4"/>
      <c r="K36" s="45"/>
      <c r="L36" s="1"/>
      <c r="M36" s="1"/>
      <c r="N36" s="1"/>
    </row>
    <row r="37" spans="1:14" ht="15">
      <c r="A37" s="45"/>
      <c r="B37" s="3"/>
      <c r="C37" s="73">
        <f t="shared" si="1"/>
        <v>41699</v>
      </c>
      <c r="D37" s="35"/>
      <c r="E37" s="71">
        <f>MIN(IF(AND(F18&lt;C38,H18&gt;=C37),(C38-C37))*H11*0.7,2*IF(YEAR(C37)&gt;2013,101500,98000)*0.7)</f>
        <v>142100</v>
      </c>
      <c r="F37" s="70">
        <f>IF(F20="",0,IF(AND(F20&lt;C38,H20&gt;=C37),IF(MID(H5,1,1)="I",2,1)*28500,0))</f>
        <v>0</v>
      </c>
      <c r="G37" s="67">
        <f t="shared" si="3"/>
        <v>22736</v>
      </c>
      <c r="H37" s="68">
        <f t="shared" si="0"/>
        <v>14210</v>
      </c>
      <c r="I37" s="69">
        <f t="shared" si="2"/>
        <v>105154</v>
      </c>
      <c r="J37" s="4"/>
      <c r="K37" s="45"/>
      <c r="L37" s="1"/>
      <c r="M37" s="1"/>
      <c r="N37" s="1"/>
    </row>
    <row r="38" spans="1:14" ht="15">
      <c r="A38" s="45"/>
      <c r="B38" s="3"/>
      <c r="C38" s="73">
        <f t="shared" si="1"/>
        <v>41730</v>
      </c>
      <c r="D38" s="35"/>
      <c r="E38" s="71">
        <f>MIN(IF(AND(F18&lt;C39,H18&gt;=C38),(C39-C38))*H11*0.7,2*IF(YEAR(C38)&gt;2013,101500,98000)*0.7)</f>
        <v>142100</v>
      </c>
      <c r="F38" s="70">
        <f>IF(F20="",0,IF(AND(F20&lt;C38,H20&gt;=C38),IF(MID(H5,1,1)="I",2,1)*28500,0))</f>
        <v>0</v>
      </c>
      <c r="G38" s="67">
        <f t="shared" si="3"/>
        <v>22736</v>
      </c>
      <c r="H38" s="68">
        <f t="shared" si="0"/>
        <v>14210</v>
      </c>
      <c r="I38" s="69">
        <f t="shared" si="2"/>
        <v>105154</v>
      </c>
      <c r="J38" s="4"/>
      <c r="K38" s="45"/>
      <c r="L38" s="1"/>
      <c r="M38" s="1"/>
      <c r="N38" s="1"/>
    </row>
    <row r="39" spans="1:14" ht="15">
      <c r="A39" s="45"/>
      <c r="B39" s="3"/>
      <c r="C39" s="73">
        <f t="shared" si="1"/>
        <v>41760</v>
      </c>
      <c r="D39" s="35"/>
      <c r="E39" s="71">
        <f>MIN(IF(AND(F18&lt;C40,H18&gt;=C39),(C40-C39))*H11*0.7,2*IF(YEAR(C39)&gt;2013,101500,98000)*0.7)</f>
        <v>142100</v>
      </c>
      <c r="F39" s="70">
        <f>IF(F20="",0,IF(AND(F20&lt;C40,H20&gt;=C39),IF(MID(H5,1,1)="I",2,1)*28500,0))</f>
        <v>0</v>
      </c>
      <c r="G39" s="67">
        <f>IF(YEAR(C39)=2009,0.18,IF(YEAR(C39)=2010,0.2159,IF(YEAR(C39)=2011,0.2032,IF(YEAR(C39)=2012,0.16,0.16))))*(D39+E39)-IF(YEAR(C394)=2009,MIN((D39+E39)*0.18,11340),IF(YEAR(C39)=2010,MIN((D39+E39)*0.2159,15100),IF(YEAR(C39)=2011,MIN((D39+E39)*0.2032,12100),0)))</f>
        <v>22736</v>
      </c>
      <c r="H39" s="68">
        <f t="shared" si="0"/>
        <v>14210</v>
      </c>
      <c r="I39" s="69">
        <f t="shared" si="2"/>
        <v>105154</v>
      </c>
      <c r="J39" s="4"/>
      <c r="K39" s="45"/>
      <c r="L39" s="1"/>
      <c r="M39" s="1"/>
      <c r="N39" s="1"/>
    </row>
    <row r="40" spans="1:14" ht="15">
      <c r="A40" s="45"/>
      <c r="B40" s="3"/>
      <c r="C40" s="73">
        <f t="shared" si="1"/>
        <v>41791</v>
      </c>
      <c r="D40" s="35"/>
      <c r="E40" s="71">
        <f>MIN(IF(AND(F18&lt;C41,H18&gt;=C40),IF(H18&lt;C41,H18-C40+1,(C41-C40))*H11*0.7,0),2*IF(YEAR(C40)&gt;2013,101500,98000)*0.7)</f>
        <v>142100</v>
      </c>
      <c r="F40" s="70">
        <f>IF(F20="",0,IF(AND(F20&lt;C41,H20&gt;=C40),IF(C40&gt;=F20,IF(MID(H5,1,1)="I",2,1)*28500,(C41-F20)*IF(MID(H5,1,1)="I",2,1)*28500/30),0))</f>
        <v>0</v>
      </c>
      <c r="G40" s="67">
        <f aca="true" t="shared" si="4" ref="G40:G59">IF(YEAR(C40)=2009,0.18,IF(YEAR(C40)=2010,0.2159,IF(YEAR(C40)=2011,0.2032,IF(YEAR(C40)=2012,0.16,0.16))))*(D40+E40)-IF(YEAR(C40)=2009,MIN((D40+E40)*0.18,11340),IF(YEAR(C40)=2010,MIN((D40+E40)*0.2159,15100),IF(YEAR(C40)=2011,MIN((D40+E40)*0.2032,12100),0)))</f>
        <v>22736</v>
      </c>
      <c r="H40" s="68">
        <f t="shared" si="0"/>
        <v>14210</v>
      </c>
      <c r="I40" s="69">
        <f>D40+E40+F40-G40-H40</f>
        <v>105154</v>
      </c>
      <c r="J40" s="4"/>
      <c r="K40" s="45"/>
      <c r="L40" s="1"/>
      <c r="M40" s="1"/>
      <c r="N40" s="1"/>
    </row>
    <row r="41" spans="1:14" ht="15">
      <c r="A41" s="45"/>
      <c r="B41" s="3"/>
      <c r="C41" s="73">
        <f t="shared" si="1"/>
        <v>41821</v>
      </c>
      <c r="D41" s="35"/>
      <c r="E41" s="71">
        <f>MIN(IF(AND(F18&lt;C42,H18&gt;=C41),IF(H18&lt;C42,H18-C41+1,(C42-C41))*H11*0.7,0),2*IF(YEAR(C41)&gt;2013,101500,98000)*0.7)</f>
        <v>142100</v>
      </c>
      <c r="F41" s="70">
        <f>IF(F20="",0,IF(AND(F20&lt;C42,H20&gt;=C41),IF(C41&gt;=F20,IF(MID(H5,1,1)="I",2,1)*28500,(C42-F20)*IF(MID(H5,1,1)="I",2,1)*28500/30),0))</f>
        <v>0</v>
      </c>
      <c r="G41" s="67">
        <f t="shared" si="4"/>
        <v>22736</v>
      </c>
      <c r="H41" s="68">
        <f t="shared" si="0"/>
        <v>14210</v>
      </c>
      <c r="I41" s="69">
        <f t="shared" si="2"/>
        <v>105154</v>
      </c>
      <c r="J41" s="4"/>
      <c r="K41" s="45"/>
      <c r="L41" s="1"/>
      <c r="M41" s="1"/>
      <c r="N41" s="1"/>
    </row>
    <row r="42" spans="1:14" ht="15">
      <c r="A42" s="45"/>
      <c r="B42" s="3"/>
      <c r="C42" s="73">
        <f t="shared" si="1"/>
        <v>41852</v>
      </c>
      <c r="D42" s="35"/>
      <c r="E42" s="71">
        <f>MIN(IF(AND(F18&lt;C43,H18&gt;=C42),IF(H18&lt;C43,H18-C42+1,(C43-C42))*H11*0.7,0),2*IF(YEAR(C42)&gt;2013,101500,98000)*0.7)</f>
        <v>142100</v>
      </c>
      <c r="F42" s="70">
        <f>IF(F20="",0,IF(AND(F20&lt;C43,H20&gt;=C42),IF(MID(H5,1,1)="I",2,1)*28500,0))</f>
        <v>0</v>
      </c>
      <c r="G42" s="67">
        <f t="shared" si="4"/>
        <v>22736</v>
      </c>
      <c r="H42" s="68">
        <f t="shared" si="0"/>
        <v>14210</v>
      </c>
      <c r="I42" s="69">
        <f t="shared" si="2"/>
        <v>105154</v>
      </c>
      <c r="J42" s="4"/>
      <c r="K42" s="45"/>
      <c r="L42" s="1"/>
      <c r="M42" s="1"/>
      <c r="N42" s="1"/>
    </row>
    <row r="43" spans="1:14" ht="15">
      <c r="A43" s="45"/>
      <c r="B43" s="3"/>
      <c r="C43" s="73">
        <f t="shared" si="1"/>
        <v>41883</v>
      </c>
      <c r="D43" s="35"/>
      <c r="E43" s="71">
        <f>MIN(IF(AND(F18&lt;C44,H18&gt;=C43),IF(H18&lt;C44,H18-C43+1,(C44-C43))*H11*0.7,0),2*IF(YEAR(C43)&gt;2013,101500,98000)*0.7)</f>
        <v>142100</v>
      </c>
      <c r="F43" s="70">
        <f>IF(F20="",0,IF(AND(F20&lt;C44,H20&gt;=C43),IF(MID(H5,1,1)="I",2,1)*28500,0))</f>
        <v>0</v>
      </c>
      <c r="G43" s="67">
        <f t="shared" si="4"/>
        <v>22736</v>
      </c>
      <c r="H43" s="68">
        <f t="shared" si="0"/>
        <v>14210</v>
      </c>
      <c r="I43" s="69">
        <f t="shared" si="2"/>
        <v>105154</v>
      </c>
      <c r="J43" s="4"/>
      <c r="K43" s="45"/>
      <c r="L43" s="1"/>
      <c r="M43" s="1"/>
      <c r="N43" s="1"/>
    </row>
    <row r="44" spans="1:14" ht="15">
      <c r="A44" s="45"/>
      <c r="B44" s="3"/>
      <c r="C44" s="73">
        <f t="shared" si="1"/>
        <v>41913</v>
      </c>
      <c r="D44" s="35"/>
      <c r="E44" s="71">
        <f>MIN(IF(AND(F18&lt;C45,H18&gt;=C44),IF(H18&lt;C45,H18-C44+1,(C45-C44))*H11*0.7,0),2*IF(YEAR(C44)&gt;2013,101500,98000)*0.7)</f>
        <v>142100</v>
      </c>
      <c r="F44" s="70">
        <f>IF(F20="",0,IF(AND(F20&lt;C45,H20&gt;=C44),IF(MID(H5,1,1)="I",2,1)*28500,0))</f>
        <v>0</v>
      </c>
      <c r="G44" s="67">
        <f t="shared" si="4"/>
        <v>22736</v>
      </c>
      <c r="H44" s="68">
        <f t="shared" si="0"/>
        <v>14210</v>
      </c>
      <c r="I44" s="69">
        <f t="shared" si="2"/>
        <v>105154</v>
      </c>
      <c r="J44" s="4"/>
      <c r="K44" s="45"/>
      <c r="L44" s="1"/>
      <c r="M44" s="1"/>
      <c r="N44" s="1"/>
    </row>
    <row r="45" spans="1:14" ht="15">
      <c r="A45" s="45"/>
      <c r="B45" s="3"/>
      <c r="C45" s="73">
        <f t="shared" si="1"/>
        <v>41944</v>
      </c>
      <c r="D45" s="35"/>
      <c r="E45" s="71">
        <f>MIN(IF(AND(F18&lt;C46,H18&gt;=C45),IF(H18&lt;C46,H18-C45+1,(C46-C45))*H11*0.7,0),2*IF(YEAR(C45)&gt;2013,101500,98000)*0.7)</f>
        <v>142100</v>
      </c>
      <c r="F45" s="70">
        <f>IF(F20="",0,IF(AND(F20&lt;C45,H20&gt;=C45),IF(MID(H5,1,1)="I",2,1)*28500,0))</f>
        <v>0</v>
      </c>
      <c r="G45" s="67">
        <f t="shared" si="4"/>
        <v>22736</v>
      </c>
      <c r="H45" s="68">
        <f t="shared" si="0"/>
        <v>14210</v>
      </c>
      <c r="I45" s="69">
        <f t="shared" si="2"/>
        <v>105154</v>
      </c>
      <c r="J45" s="4"/>
      <c r="K45" s="45"/>
      <c r="L45" s="1"/>
      <c r="M45" s="1"/>
      <c r="N45" s="1"/>
    </row>
    <row r="46" spans="1:14" ht="15">
      <c r="A46" s="45"/>
      <c r="B46" s="3"/>
      <c r="C46" s="73">
        <f t="shared" si="1"/>
        <v>41974</v>
      </c>
      <c r="D46" s="35"/>
      <c r="E46" s="71">
        <f>IF(AND(F18&lt;C47,H18&gt;=C46),IF(H18&lt;C46,MIN((H18-C46+1)*H11*0.7,2*IF(YEAR(C28)&gt;2013,101500,98000)*0.7/30*(H18-C46+1)),MIN((C47-C46)*H11*0.7,2*IF(YEAR(C46)&gt;2013,101500,98000)*0.7)),0)</f>
        <v>142100</v>
      </c>
      <c r="F46" s="70">
        <f>IF(F20="",0,IF(AND(F20&lt;C47,H20&gt;=C46),IF(C46&gt;=F20,IF(H20&lt;C47,(H20-C46+1)*28500/30,IF(MID(H5,1,1)="I",2,1)*28500),(C47-F20)*IF(MID(H5,1,1)="I",2,1)*28500/30),0))</f>
        <v>0</v>
      </c>
      <c r="G46" s="67">
        <f t="shared" si="4"/>
        <v>22736</v>
      </c>
      <c r="H46" s="68">
        <f t="shared" si="0"/>
        <v>14210</v>
      </c>
      <c r="I46" s="69">
        <f t="shared" si="2"/>
        <v>105154</v>
      </c>
      <c r="J46" s="4"/>
      <c r="K46" s="45"/>
      <c r="L46" s="1"/>
      <c r="M46" s="1"/>
      <c r="N46" s="1"/>
    </row>
    <row r="47" spans="1:14" ht="15">
      <c r="A47" s="45"/>
      <c r="B47" s="3"/>
      <c r="C47" s="73">
        <f t="shared" si="1"/>
        <v>42005</v>
      </c>
      <c r="D47" s="35"/>
      <c r="E47" s="71">
        <f>IF(AND(F18&lt;C48,H18&gt;=C47),IF(H18&lt;C48,MIN((H18-C47+1)*H11*0.7,2*IF(YEAR(C28)&gt;2013,101500,98000)*0.7/30*(H18-C47+1)),MIN((C48-C47)*H11*0.7,2*IF(YEAR(C47)&gt;2013,101500,98000)*0.7)),0)</f>
        <v>68600</v>
      </c>
      <c r="F47" s="70">
        <f>IF(F20="",0,IF(AND(F20&lt;C48,H20&gt;=C47),IF(C47&gt;=F20,IF(H20&lt;C48,(H20-C47+1)*28500/30,IF(MID(H5,1,1)="I",2,1)*28500),(C48-F20)*IF(MID(H5,1,1)="I",2,1)*28500/30),0))</f>
        <v>15200</v>
      </c>
      <c r="G47" s="67">
        <f t="shared" si="4"/>
        <v>10976</v>
      </c>
      <c r="H47" s="68">
        <f t="shared" si="0"/>
        <v>8380</v>
      </c>
      <c r="I47" s="69">
        <f t="shared" si="2"/>
        <v>64444</v>
      </c>
      <c r="J47" s="4"/>
      <c r="K47" s="45"/>
      <c r="L47" s="1"/>
      <c r="M47" s="1"/>
      <c r="N47" s="1"/>
    </row>
    <row r="48" spans="1:14" ht="15">
      <c r="A48" s="45"/>
      <c r="B48" s="3"/>
      <c r="C48" s="73">
        <f t="shared" si="1"/>
        <v>42036</v>
      </c>
      <c r="D48" s="35"/>
      <c r="E48" s="37"/>
      <c r="F48" s="70">
        <f>IF(F20="",0,IF(AND(F20&lt;C49,H20&gt;=C48),IF(MID(H5,1,1)="I",2,1)*28500,0))</f>
        <v>28500</v>
      </c>
      <c r="G48" s="67">
        <f t="shared" si="4"/>
        <v>0</v>
      </c>
      <c r="H48" s="68">
        <f t="shared" si="0"/>
        <v>2850</v>
      </c>
      <c r="I48" s="69">
        <f t="shared" si="2"/>
        <v>25650</v>
      </c>
      <c r="J48" s="4"/>
      <c r="K48" s="45"/>
      <c r="L48" s="1"/>
      <c r="M48" s="1"/>
      <c r="N48" s="1"/>
    </row>
    <row r="49" spans="1:14" ht="15">
      <c r="A49" s="45"/>
      <c r="B49" s="3"/>
      <c r="C49" s="73">
        <f t="shared" si="1"/>
        <v>42064</v>
      </c>
      <c r="D49" s="35"/>
      <c r="E49" s="37"/>
      <c r="F49" s="70">
        <f>IF(F20="",0,IF(AND(F20&lt;C50,H20&gt;=C49),IF(MID(H5,1,1)="I",2,1)*28500,0))</f>
        <v>28500</v>
      </c>
      <c r="G49" s="67">
        <f t="shared" si="4"/>
        <v>0</v>
      </c>
      <c r="H49" s="68">
        <f t="shared" si="0"/>
        <v>2850</v>
      </c>
      <c r="I49" s="69">
        <f t="shared" si="2"/>
        <v>25650</v>
      </c>
      <c r="J49" s="4"/>
      <c r="K49" s="45"/>
      <c r="L49" s="1"/>
      <c r="M49" s="1"/>
      <c r="N49" s="1"/>
    </row>
    <row r="50" spans="1:14" ht="15">
      <c r="A50" s="45"/>
      <c r="B50" s="3"/>
      <c r="C50" s="73">
        <f t="shared" si="1"/>
        <v>42095</v>
      </c>
      <c r="D50" s="35"/>
      <c r="E50" s="37"/>
      <c r="F50" s="70">
        <f>IF(F20="",0,IF(AND(F20&lt;C51,H20&gt;=C50),IF(MID(H5,1,1)="I",2,1)*28500,0))</f>
        <v>28500</v>
      </c>
      <c r="G50" s="67">
        <f t="shared" si="4"/>
        <v>0</v>
      </c>
      <c r="H50" s="68">
        <f t="shared" si="0"/>
        <v>2850</v>
      </c>
      <c r="I50" s="69">
        <f t="shared" si="2"/>
        <v>25650</v>
      </c>
      <c r="J50" s="4"/>
      <c r="K50" s="45"/>
      <c r="L50" s="1"/>
      <c r="M50" s="1"/>
      <c r="N50" s="1"/>
    </row>
    <row r="51" spans="1:14" ht="15">
      <c r="A51" s="45"/>
      <c r="B51" s="3"/>
      <c r="C51" s="73">
        <f t="shared" si="1"/>
        <v>42125</v>
      </c>
      <c r="D51" s="35"/>
      <c r="E51" s="37"/>
      <c r="F51" s="70">
        <f>IF(F20="",0,IF(AND(F20&lt;C52,H20&gt;=C51),IF(MID(H5,1,1)="I",2,1)*28500,0))</f>
        <v>28500</v>
      </c>
      <c r="G51" s="67">
        <f t="shared" si="4"/>
        <v>0</v>
      </c>
      <c r="H51" s="68">
        <f t="shared" si="0"/>
        <v>2850</v>
      </c>
      <c r="I51" s="69">
        <f t="shared" si="2"/>
        <v>25650</v>
      </c>
      <c r="J51" s="4"/>
      <c r="K51" s="45"/>
      <c r="L51" s="1"/>
      <c r="M51" s="1"/>
      <c r="N51" s="1"/>
    </row>
    <row r="52" spans="1:14" ht="15">
      <c r="A52" s="45"/>
      <c r="B52" s="3"/>
      <c r="C52" s="73">
        <f t="shared" si="1"/>
        <v>42156</v>
      </c>
      <c r="D52" s="35"/>
      <c r="E52" s="37"/>
      <c r="F52" s="70">
        <f>IF(F20="",0,IF(AND(F20&lt;C53,H20&gt;=C52),IF(MID(H5,1,1)="I",2,1)*28500,0))</f>
        <v>28500</v>
      </c>
      <c r="G52" s="67">
        <f t="shared" si="4"/>
        <v>0</v>
      </c>
      <c r="H52" s="68">
        <f t="shared" si="0"/>
        <v>2850</v>
      </c>
      <c r="I52" s="69">
        <f t="shared" si="2"/>
        <v>25650</v>
      </c>
      <c r="J52" s="4"/>
      <c r="K52" s="45"/>
      <c r="L52" s="1"/>
      <c r="M52" s="1"/>
      <c r="N52" s="1"/>
    </row>
    <row r="53" spans="1:14" ht="15">
      <c r="A53" s="45"/>
      <c r="B53" s="3"/>
      <c r="C53" s="73">
        <f t="shared" si="1"/>
        <v>42186</v>
      </c>
      <c r="D53" s="35"/>
      <c r="E53" s="37"/>
      <c r="F53" s="70">
        <f>IF(F20="",0,IF(AND(F20&lt;C54,H20&gt;=C53),IF(MID(H5,1,1)="I",2,1)*28500,0))</f>
        <v>28500</v>
      </c>
      <c r="G53" s="67">
        <f t="shared" si="4"/>
        <v>0</v>
      </c>
      <c r="H53" s="68">
        <f t="shared" si="0"/>
        <v>2850</v>
      </c>
      <c r="I53" s="69">
        <f t="shared" si="2"/>
        <v>25650</v>
      </c>
      <c r="J53" s="4"/>
      <c r="K53" s="45"/>
      <c r="L53" s="1"/>
      <c r="M53" s="1"/>
      <c r="N53" s="1"/>
    </row>
    <row r="54" spans="1:14" ht="15">
      <c r="A54" s="45"/>
      <c r="B54" s="3"/>
      <c r="C54" s="73">
        <f t="shared" si="1"/>
        <v>42217</v>
      </c>
      <c r="D54" s="35"/>
      <c r="E54" s="37"/>
      <c r="F54" s="70">
        <f>IF(F20="",0,IF(AND(F20&lt;C55,H20&gt;=C54),IF(MID(H5,1,1)="I",2,1)*28500,0))</f>
        <v>28500</v>
      </c>
      <c r="G54" s="67">
        <f t="shared" si="4"/>
        <v>0</v>
      </c>
      <c r="H54" s="68">
        <f t="shared" si="0"/>
        <v>2850</v>
      </c>
      <c r="I54" s="69">
        <f t="shared" si="2"/>
        <v>25650</v>
      </c>
      <c r="J54" s="4"/>
      <c r="K54" s="45"/>
      <c r="L54" s="1"/>
      <c r="M54" s="1"/>
      <c r="N54" s="1"/>
    </row>
    <row r="55" spans="1:14" ht="15">
      <c r="A55" s="45"/>
      <c r="B55" s="3"/>
      <c r="C55" s="73">
        <f t="shared" si="1"/>
        <v>42248</v>
      </c>
      <c r="D55" s="35"/>
      <c r="E55" s="37"/>
      <c r="F55" s="70">
        <f>IF(F20="",0,IF(AND(F20&lt;C56,H20&gt;=C55),IF(MID(H5,1,1)="I",2,1)*28500,0))</f>
        <v>28500</v>
      </c>
      <c r="G55" s="67">
        <f t="shared" si="4"/>
        <v>0</v>
      </c>
      <c r="H55" s="68">
        <f t="shared" si="0"/>
        <v>2850</v>
      </c>
      <c r="I55" s="69">
        <f t="shared" si="2"/>
        <v>25650</v>
      </c>
      <c r="J55" s="4"/>
      <c r="K55" s="45"/>
      <c r="L55" s="1"/>
      <c r="M55" s="1"/>
      <c r="N55" s="1"/>
    </row>
    <row r="56" spans="1:14" ht="15">
      <c r="A56" s="45"/>
      <c r="B56" s="3"/>
      <c r="C56" s="73">
        <f t="shared" si="1"/>
        <v>42278</v>
      </c>
      <c r="D56" s="35"/>
      <c r="E56" s="37"/>
      <c r="F56" s="70">
        <f>IF(F20="",0,IF(AND(F20&lt;C57,H20&gt;=C56),IF(MID(H5,1,1)="I",2,1)*28500,0))</f>
        <v>28500</v>
      </c>
      <c r="G56" s="67">
        <f t="shared" si="4"/>
        <v>0</v>
      </c>
      <c r="H56" s="68">
        <f t="shared" si="0"/>
        <v>2850</v>
      </c>
      <c r="I56" s="69">
        <f t="shared" si="2"/>
        <v>25650</v>
      </c>
      <c r="J56" s="4"/>
      <c r="K56" s="45"/>
      <c r="L56" s="1"/>
      <c r="M56" s="1"/>
      <c r="N56" s="1"/>
    </row>
    <row r="57" spans="1:14" ht="15">
      <c r="A57" s="45"/>
      <c r="B57" s="3"/>
      <c r="C57" s="73">
        <f t="shared" si="1"/>
        <v>42309</v>
      </c>
      <c r="D57" s="35"/>
      <c r="E57" s="37"/>
      <c r="F57" s="70">
        <f>IF(F20="",0,IF(AND(F20&lt;C58,H20&gt;=C57),IF(MID(H5,1,1)="I",2,1)*28500,0))</f>
        <v>28500</v>
      </c>
      <c r="G57" s="67">
        <f t="shared" si="4"/>
        <v>0</v>
      </c>
      <c r="H57" s="68">
        <f t="shared" si="0"/>
        <v>2850</v>
      </c>
      <c r="I57" s="69">
        <f t="shared" si="2"/>
        <v>25650</v>
      </c>
      <c r="J57" s="4"/>
      <c r="K57" s="45"/>
      <c r="L57" s="1"/>
      <c r="M57" s="1"/>
      <c r="N57" s="1"/>
    </row>
    <row r="58" spans="1:14" ht="15">
      <c r="A58" s="45"/>
      <c r="B58" s="3"/>
      <c r="C58" s="73">
        <f t="shared" si="1"/>
        <v>42339</v>
      </c>
      <c r="D58" s="35"/>
      <c r="E58" s="37"/>
      <c r="F58" s="70">
        <f>IF(F20="",0,IF(AND(F20&lt;C59,H20&gt;=C58),IF(H20&lt;C59,H20-C58+1,(C59-C58))*950*IF(MID(H5,1,1)="I",2,1),0))</f>
        <v>29450</v>
      </c>
      <c r="G58" s="67">
        <f t="shared" si="4"/>
        <v>0</v>
      </c>
      <c r="H58" s="68">
        <f t="shared" si="0"/>
        <v>2945</v>
      </c>
      <c r="I58" s="69">
        <f t="shared" si="2"/>
        <v>26505</v>
      </c>
      <c r="J58" s="4"/>
      <c r="K58" s="45"/>
      <c r="L58" s="1"/>
      <c r="M58" s="1"/>
      <c r="N58" s="1"/>
    </row>
    <row r="59" spans="1:14" ht="15">
      <c r="A59" s="45"/>
      <c r="B59" s="3"/>
      <c r="C59" s="73">
        <f t="shared" si="1"/>
        <v>42370</v>
      </c>
      <c r="D59" s="35"/>
      <c r="E59" s="37"/>
      <c r="F59" s="70">
        <f>IF(F20="",0,IF(AND(F20&lt;C60,H20&gt;=C59),IF(H20&lt;C60,H20-C59+1,(C60-C59))*950*IF(MID(H5,1,1)="I",2,1),0))</f>
        <v>15200</v>
      </c>
      <c r="G59" s="67">
        <f t="shared" si="4"/>
        <v>0</v>
      </c>
      <c r="H59" s="68">
        <f t="shared" si="0"/>
        <v>1520</v>
      </c>
      <c r="I59" s="69">
        <f>D59+E59+F59-G59-H59</f>
        <v>13680</v>
      </c>
      <c r="J59" s="4"/>
      <c r="K59" s="45"/>
      <c r="L59" s="1"/>
      <c r="M59" s="1"/>
      <c r="N59" s="1"/>
    </row>
    <row r="60" spans="1:14" ht="15.75" thickBot="1">
      <c r="A60" s="45"/>
      <c r="B60" s="5"/>
      <c r="C60" s="73">
        <f t="shared" si="1"/>
        <v>42401</v>
      </c>
      <c r="D60" s="6"/>
      <c r="E60" s="6"/>
      <c r="F60" s="6"/>
      <c r="G60" s="9"/>
      <c r="H60" s="6"/>
      <c r="I60" s="6"/>
      <c r="J60" s="7"/>
      <c r="K60" s="45"/>
      <c r="L60" s="1"/>
      <c r="M60" s="1"/>
      <c r="N60" s="1"/>
    </row>
    <row r="61" spans="1:14" ht="18" customHeight="1">
      <c r="A61" s="45"/>
      <c r="B61" s="46"/>
      <c r="C61" s="83" t="s">
        <v>0</v>
      </c>
      <c r="D61" s="58"/>
      <c r="E61" s="58"/>
      <c r="F61" s="84" t="s">
        <v>36</v>
      </c>
      <c r="G61" s="46"/>
      <c r="H61" s="46"/>
      <c r="I61" s="46"/>
      <c r="J61" s="46"/>
      <c r="K61" s="45"/>
      <c r="L61" s="1"/>
      <c r="M61" s="1"/>
      <c r="N61" s="1"/>
    </row>
    <row r="62" spans="1:14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5">
      <c r="A63" s="1"/>
      <c r="B63" s="1" t="s">
        <v>34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5">
      <c r="A64" s="1"/>
      <c r="B64" s="1" t="s">
        <v>18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5">
      <c r="A65" s="1"/>
      <c r="B65" s="1"/>
      <c r="C65" s="1" t="s">
        <v>26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</sheetData>
  <sheetProtection password="C6A1" sheet="1" selectLockedCells="1"/>
  <mergeCells count="2">
    <mergeCell ref="H5:I5"/>
    <mergeCell ref="G21:H21"/>
  </mergeCells>
  <dataValidations count="2">
    <dataValidation type="list" allowBlank="1" showInputMessage="1" showErrorMessage="1" sqref="H5:I5">
      <formula1>$O$5:$O$6</formula1>
    </dataValidation>
    <dataValidation type="list" allowBlank="1" showInputMessage="1" showErrorMessage="1" sqref="H13">
      <formula1>$O$13:$O$15</formula1>
    </dataValidation>
  </dataValidations>
  <hyperlinks>
    <hyperlink ref="F61" r:id="rId1" display="www.angyalado.h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AngyalJ</dc:creator>
  <cp:keywords/>
  <dc:description/>
  <cp:lastModifiedBy>Vénusz Szoftver Kft.</cp:lastModifiedBy>
  <dcterms:created xsi:type="dcterms:W3CDTF">2009-06-21T13:54:24Z</dcterms:created>
  <dcterms:modified xsi:type="dcterms:W3CDTF">2013-12-31T09:35:21Z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